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Richard Peters\Peters Research Ltd Dropbox\Richard Peters\peters research ltd\Peters Research Projects\23005 CIBSE Guide D 2025 RP sections\AD4\"/>
    </mc:Choice>
  </mc:AlternateContent>
  <xr:revisionPtr revIDLastSave="0" documentId="13_ncr:1_{B8FDE8DF-E9D2-4CFD-B221-4EC52548067B}" xr6:coauthVersionLast="47" xr6:coauthVersionMax="47" xr10:uidLastSave="{00000000-0000-0000-0000-000000000000}"/>
  <bookViews>
    <workbookView xWindow="-28920" yWindow="-3450" windowWidth="29040" windowHeight="15840" xr2:uid="{D5C6AD6D-6090-4914-8870-9B8FD0684DA3}"/>
  </bookViews>
  <sheets>
    <sheet name="Input and Results" sheetId="1" r:id="rId1"/>
    <sheet name="Lookup tables" sheetId="2" r:id="rId2"/>
    <sheet name="Calculation of H" sheetId="3" r:id="rId3"/>
    <sheet name="Calculation of L" sheetId="4" r:id="rId4"/>
  </sheets>
  <definedNames>
    <definedName name="a">'Input and Results'!$C$24</definedName>
    <definedName name="Ac">'Input and Results'!$C$20</definedName>
    <definedName name="Ap">'Input and Results'!$C$12</definedName>
    <definedName name="CarSizes">'Lookup tables'!$G$4:$I$14</definedName>
    <definedName name="CFa">'Input and Results'!#REF!</definedName>
    <definedName name="Condition">'Input and Results'!$C$28</definedName>
    <definedName name="DesignCriteria">'Lookup tables'!$L$4:$Q$7</definedName>
    <definedName name="df">'Input and Results'!$C$7</definedName>
    <definedName name="DoorTimes">'Lookup tables'!$Y$4:$AB$8</definedName>
    <definedName name="DoorWidth">'Input and Results'!$C$30</definedName>
    <definedName name="dt">'Input and Results'!$C$21</definedName>
    <definedName name="H">'Input and Results'!$C$37</definedName>
    <definedName name="HCFive">'Input and Results'!$C$10</definedName>
    <definedName name="hg">'Input and Results'!#REF!</definedName>
    <definedName name="hn">'Input and Results'!#REF!</definedName>
    <definedName name="HRequiredHC">'Input and Results'!$C$50</definedName>
    <definedName name="INT">'Input and Results'!$C$11</definedName>
    <definedName name="j">'Input and Results'!$C$25</definedName>
    <definedName name="Kinematics">'Lookup tables'!$A$4:$C$18</definedName>
    <definedName name="L">'Input and Results'!$C$40</definedName>
    <definedName name="lambda">'Input and Results'!$C$14</definedName>
    <definedName name="LOSS">'Input and Results'!$C$13</definedName>
    <definedName name="MaxSpeed">'Input and Results'!#REF!</definedName>
    <definedName name="MinPlatformArea">'Input and Results'!$C$18</definedName>
    <definedName name="N">'Input and Results'!$C$5</definedName>
    <definedName name="P">'Input and Results'!$C$16</definedName>
    <definedName name="PassengerTransferTimes">'Lookup tables'!$T$4:$W$8</definedName>
    <definedName name="Pderating">'Input and Results'!$C$47</definedName>
    <definedName name="Pmax">'Input and Results'!$C$17</definedName>
    <definedName name="PRequiredHC">'Input and Results'!$C$48</definedName>
    <definedName name="RatedCapacity">'Input and Results'!$C$19</definedName>
    <definedName name="RTT">'Input and Results'!$C$39</definedName>
    <definedName name="RTTRequiredHC">'Input and Results'!$C$51</definedName>
    <definedName name="S">'Input and Results'!$C$36</definedName>
    <definedName name="Speeds">'Lookup tables'!$A$5:$A$18</definedName>
    <definedName name="SRequiredHC">'Input and Results'!$C$49</definedName>
    <definedName name="tc">'Input and Results'!$C$33</definedName>
    <definedName name="tcd">'Input and Results'!$C$34</definedName>
    <definedName name="tf">'Input and Results'!$C$29</definedName>
    <definedName name="tl">'Input and Results'!$C$27</definedName>
    <definedName name="tlevel">'Input and Results'!$C$27</definedName>
    <definedName name="to">'Input and Results'!$C$32</definedName>
    <definedName name="tp">'Input and Results'!$C$38</definedName>
    <definedName name="tpre">'Input and Results'!$C$31</definedName>
    <definedName name="ts">'Input and Results'!$C$35</definedName>
    <definedName name="tsd">'Input and Results'!$C$26</definedName>
    <definedName name="tv">'Input and Results'!$C$22</definedName>
    <definedName name="Ueff">'Input and Results'!$C$6</definedName>
    <definedName name="UPPHC">'Input and Results'!$C$41</definedName>
    <definedName name="UPPHCRequiredHC">'Input and Results'!$C$53</definedName>
    <definedName name="UPPINT">'Input and Results'!$C$42</definedName>
    <definedName name="v">'Input and Results'!$C$23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2" i="1" s="1"/>
  <c r="C21" i="1"/>
  <c r="E5" i="2" l="1"/>
  <c r="M9" i="2"/>
  <c r="D9" i="2" s="1"/>
  <c r="D5" i="2"/>
  <c r="D18" i="2" l="1"/>
  <c r="D17" i="2"/>
  <c r="D6" i="2"/>
  <c r="D16" i="2"/>
  <c r="D7" i="2"/>
  <c r="D15" i="2"/>
  <c r="D8" i="2"/>
  <c r="D14" i="2"/>
  <c r="D13" i="2"/>
  <c r="D12" i="2"/>
  <c r="D11" i="2"/>
  <c r="D10" i="2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C12" i="1"/>
  <c r="Q7" i="2"/>
  <c r="E10" i="2" l="1"/>
  <c r="E11" i="2"/>
  <c r="E12" i="2"/>
  <c r="E13" i="2"/>
  <c r="E14" i="2"/>
  <c r="E8" i="2"/>
  <c r="E15" i="2"/>
  <c r="E7" i="2"/>
  <c r="E16" i="2"/>
  <c r="E6" i="2"/>
  <c r="E17" i="2"/>
  <c r="E18" i="2"/>
  <c r="E9" i="2"/>
  <c r="Q5" i="2"/>
  <c r="Q6" i="2"/>
  <c r="C11" i="1"/>
  <c r="C15" i="1" s="1"/>
  <c r="C10" i="1"/>
  <c r="C14" i="1" s="1"/>
  <c r="C16" i="1" s="1"/>
  <c r="C17" i="1" s="1"/>
  <c r="C18" i="1" s="1"/>
  <c r="T11" i="2"/>
  <c r="T14" i="2" s="1"/>
  <c r="C52" i="1" l="1"/>
  <c r="E20" i="2"/>
  <c r="B15" i="3"/>
  <c r="B7" i="3"/>
  <c r="B10" i="3"/>
  <c r="B9" i="3"/>
  <c r="B6" i="3"/>
  <c r="B3" i="3"/>
  <c r="B5" i="3"/>
  <c r="B14" i="3"/>
  <c r="B13" i="3"/>
  <c r="B4" i="3"/>
  <c r="B12" i="3"/>
  <c r="B8" i="3" l="1"/>
  <c r="B11" i="3"/>
  <c r="C48" i="1"/>
  <c r="C49" i="1" s="1"/>
  <c r="J12" i="2"/>
  <c r="C36" i="1"/>
  <c r="H15" i="3" l="1"/>
  <c r="J5" i="2"/>
  <c r="H4" i="3"/>
  <c r="H5" i="3"/>
  <c r="H3" i="3"/>
  <c r="H6" i="3"/>
  <c r="H7" i="3"/>
  <c r="H8" i="3"/>
  <c r="H9" i="3"/>
  <c r="H10" i="3"/>
  <c r="H11" i="3"/>
  <c r="H12" i="3"/>
  <c r="H13" i="3"/>
  <c r="H14" i="3"/>
  <c r="J9" i="2"/>
  <c r="J7" i="2"/>
  <c r="J10" i="2"/>
  <c r="J6" i="2"/>
  <c r="J14" i="2"/>
  <c r="J8" i="2"/>
  <c r="J13" i="2"/>
  <c r="J11" i="2"/>
  <c r="C19" i="1" l="1"/>
  <c r="C30" i="1"/>
  <c r="C38" i="1" s="1"/>
  <c r="K3" i="3"/>
  <c r="C50" i="1" s="1"/>
  <c r="E3" i="3"/>
  <c r="C37" i="1" s="1"/>
  <c r="C20" i="1" l="1"/>
  <c r="C56" i="1" s="1"/>
  <c r="C32" i="1"/>
  <c r="C33" i="1"/>
  <c r="C31" i="1"/>
  <c r="C24" i="1" l="1"/>
  <c r="C25" i="1"/>
  <c r="C28" i="1" l="1"/>
  <c r="C29" i="1" s="1"/>
  <c r="C35" i="1" s="1"/>
  <c r="C39" i="1" s="1"/>
  <c r="C51" i="1" l="1"/>
  <c r="B5" i="4"/>
  <c r="C5" i="4" s="1"/>
  <c r="B9" i="4"/>
  <c r="C9" i="4" s="1"/>
  <c r="B8" i="4"/>
  <c r="C8" i="4" s="1"/>
  <c r="B6" i="4"/>
  <c r="C6" i="4" s="1"/>
  <c r="B7" i="4"/>
  <c r="C7" i="4" s="1"/>
  <c r="B2" i="4"/>
  <c r="C2" i="4" s="1"/>
  <c r="B3" i="4"/>
  <c r="C3" i="4" s="1"/>
  <c r="B4" i="4"/>
  <c r="C4" i="4" s="1"/>
  <c r="F2" i="4" l="1"/>
  <c r="C40" i="1" s="1"/>
  <c r="C55" i="1" s="1" a="1"/>
  <c r="C55" i="1" s="1"/>
  <c r="C42" i="1" l="1" a="1"/>
  <c r="C42" i="1" s="1"/>
  <c r="C41" i="1" s="1"/>
  <c r="C43" i="1" s="1"/>
  <c r="C53" i="1" l="1"/>
  <c r="C54" i="1" s="1" a="1"/>
  <c r="C5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<sst xmlns="http://schemas.openxmlformats.org/spreadsheetml/2006/main" count="137" uniqueCount="107">
  <si>
    <t>CIBSE Guide D 2025 uppeak calculation</t>
  </si>
  <si>
    <t>User entry</t>
  </si>
  <si>
    <t>Symbol</t>
  </si>
  <si>
    <t>Value</t>
  </si>
  <si>
    <t>Building type</t>
  </si>
  <si>
    <t>Office</t>
  </si>
  <si>
    <t>Number of served floors above the main terminal (value)</t>
  </si>
  <si>
    <t>N</t>
  </si>
  <si>
    <t>Calculation</t>
  </si>
  <si>
    <t>Area per person</t>
  </si>
  <si>
    <t>%LOSS</t>
  </si>
  <si>
    <t>Number of intervals required in 5 mins to achieve design interval</t>
  </si>
  <si>
    <t>P</t>
  </si>
  <si>
    <t>Average interfloor height (m)</t>
  </si>
  <si>
    <t>Time to travel between two standard pitch adjacent floors at rated speed (s)</t>
  </si>
  <si>
    <t>Rated speed (m/s)</t>
  </si>
  <si>
    <t>v</t>
  </si>
  <si>
    <t>Acceleration (m/s²)</t>
  </si>
  <si>
    <t>a</t>
  </si>
  <si>
    <t>Jerk (m/s³)</t>
  </si>
  <si>
    <t>j</t>
  </si>
  <si>
    <t>Start delay time (s)</t>
  </si>
  <si>
    <t>Levelling delay (s)</t>
  </si>
  <si>
    <t>Door width (mm)</t>
  </si>
  <si>
    <t>Door opening time (s)</t>
  </si>
  <si>
    <t>Door closing time (s)</t>
  </si>
  <si>
    <t>Door closing delay time (s)</t>
  </si>
  <si>
    <t>Time consumed in stopping (s)</t>
  </si>
  <si>
    <t>Average number of stops (value)</t>
  </si>
  <si>
    <t>S</t>
  </si>
  <si>
    <t>Average highest reversal floor (value)</t>
  </si>
  <si>
    <t>H</t>
  </si>
  <si>
    <t>Average single passenger transfer time (entry or exit) (s)</t>
  </si>
  <si>
    <t>Average round trip time (s)</t>
  </si>
  <si>
    <t>RTT</t>
  </si>
  <si>
    <t>Number of lifts (value)</t>
  </si>
  <si>
    <t>L</t>
  </si>
  <si>
    <t>UPPINT</t>
  </si>
  <si>
    <t>UPPHC</t>
  </si>
  <si>
    <t>Improved design</t>
  </si>
  <si>
    <t>Derating of P</t>
  </si>
  <si>
    <t>Capacity Factor by area (%)</t>
  </si>
  <si>
    <t>Look up tables</t>
  </si>
  <si>
    <t xml:space="preserve">Acceleration and jerk </t>
  </si>
  <si>
    <t>Car sizes</t>
  </si>
  <si>
    <t>Design Criteria</t>
  </si>
  <si>
    <t>Passenger transfer time</t>
  </si>
  <si>
    <t>Door times (based on High Speed two-panel centre opening</t>
  </si>
  <si>
    <t>Speed (m/s)</t>
  </si>
  <si>
    <t>Rated load (kg)</t>
  </si>
  <si>
    <t>Maximum car area (m²)</t>
  </si>
  <si>
    <t>Passenger arrival rate</t>
  </si>
  <si>
    <t>Interval (s)</t>
  </si>
  <si>
    <t>Target Speed (m/s)</t>
  </si>
  <si>
    <t>Hotel</t>
  </si>
  <si>
    <t>Residential</t>
  </si>
  <si>
    <t>Pre-openig time (s)</t>
  </si>
  <si>
    <t>Opening Time (s)</t>
  </si>
  <si>
    <t>Closing Time  (s)</t>
  </si>
  <si>
    <t>Column</t>
  </si>
  <si>
    <t>Average highest reversal floor, H</t>
  </si>
  <si>
    <r>
      <t>H</t>
    </r>
    <r>
      <rPr>
        <vertAlign val="subscript"/>
        <sz val="11"/>
        <color theme="1"/>
        <rFont val="Aptos Narrow"/>
        <family val="2"/>
        <scheme val="minor"/>
      </rPr>
      <t>RequiredHC</t>
    </r>
  </si>
  <si>
    <t>Interval</t>
  </si>
  <si>
    <t>Min Tnom</t>
  </si>
  <si>
    <t>Min Travel</t>
  </si>
  <si>
    <t>Selected</t>
  </si>
  <si>
    <t>Max number of passengers car should accommodate</t>
  </si>
  <si>
    <t>Required car platform area (m²)</t>
  </si>
  <si>
    <t>Car area (m²)</t>
  </si>
  <si>
    <t>Flight time calculation condition</t>
  </si>
  <si>
    <t>Building population  (persons)</t>
  </si>
  <si>
    <t>U</t>
  </si>
  <si>
    <t>%UPPPD</t>
  </si>
  <si>
    <t>Area per person (m²)</t>
  </si>
  <si>
    <t>Round trip time losses  (%)</t>
  </si>
  <si>
    <t>Passenger demand (persons per 5 minutes)</t>
  </si>
  <si>
    <t>UPPPD</t>
  </si>
  <si>
    <t>Average number of passengers in car (persons)</t>
  </si>
  <si>
    <t>LC</t>
  </si>
  <si>
    <t>Lift capacity (kg)</t>
  </si>
  <si>
    <t>Distance between terminal floors (m)</t>
  </si>
  <si>
    <t>D</t>
  </si>
  <si>
    <t>Single (1) floor flight time (s)</t>
  </si>
  <si>
    <t xml:space="preserve">Door width (mm) </t>
  </si>
  <si>
    <t>Door pre-opening time (s)</t>
  </si>
  <si>
    <t>Uppeak handling capacity (persons/5-minutes)</t>
  </si>
  <si>
    <t>Uppeak interval (s)</t>
  </si>
  <si>
    <t>Uppeak handling capacity as a percentage of building population (%)</t>
  </si>
  <si>
    <t>%UPPHC</t>
  </si>
  <si>
    <r>
      <t>d</t>
    </r>
    <r>
      <rPr>
        <i/>
        <vertAlign val="subscript"/>
        <sz val="11"/>
        <color theme="1"/>
        <rFont val="Calibri"/>
        <family val="2"/>
      </rPr>
      <t>f</t>
    </r>
  </si>
  <si>
    <r>
      <t>A</t>
    </r>
    <r>
      <rPr>
        <i/>
        <vertAlign val="subscript"/>
        <sz val="11"/>
        <color theme="1"/>
        <rFont val="Calibri"/>
        <family val="2"/>
      </rPr>
      <t>p</t>
    </r>
  </si>
  <si>
    <r>
      <t>P</t>
    </r>
    <r>
      <rPr>
        <i/>
        <vertAlign val="subscript"/>
        <sz val="11"/>
        <color theme="1"/>
        <rFont val="Calibri"/>
        <family val="2"/>
      </rPr>
      <t>max</t>
    </r>
  </si>
  <si>
    <r>
      <t>A</t>
    </r>
    <r>
      <rPr>
        <i/>
        <vertAlign val="subscript"/>
        <sz val="11"/>
        <color theme="1"/>
        <rFont val="Calibri"/>
        <family val="2"/>
      </rPr>
      <t>c</t>
    </r>
  </si>
  <si>
    <r>
      <t>t</t>
    </r>
    <r>
      <rPr>
        <i/>
        <vertAlign val="subscript"/>
        <sz val="11"/>
        <color theme="1"/>
        <rFont val="Calibri"/>
        <family val="2"/>
      </rPr>
      <t>v</t>
    </r>
  </si>
  <si>
    <r>
      <t>t</t>
    </r>
    <r>
      <rPr>
        <i/>
        <vertAlign val="subscript"/>
        <sz val="11"/>
        <color theme="1"/>
        <rFont val="Calibri"/>
        <family val="2"/>
      </rPr>
      <t>sd</t>
    </r>
  </si>
  <si>
    <r>
      <t>t</t>
    </r>
    <r>
      <rPr>
        <i/>
        <vertAlign val="subscript"/>
        <sz val="11"/>
        <color theme="1"/>
        <rFont val="Calibri"/>
        <family val="2"/>
      </rPr>
      <t>l</t>
    </r>
  </si>
  <si>
    <r>
      <t>t</t>
    </r>
    <r>
      <rPr>
        <i/>
        <vertAlign val="subscript"/>
        <sz val="11"/>
        <color theme="1"/>
        <rFont val="Calibri"/>
        <family val="2"/>
      </rPr>
      <t>f</t>
    </r>
    <r>
      <rPr>
        <i/>
        <sz val="11"/>
        <color theme="1"/>
        <rFont val="Calibri"/>
        <family val="2"/>
      </rPr>
      <t>(1)</t>
    </r>
  </si>
  <si>
    <r>
      <t>t</t>
    </r>
    <r>
      <rPr>
        <i/>
        <vertAlign val="subscript"/>
        <sz val="11"/>
        <color theme="1"/>
        <rFont val="Calibri"/>
        <family val="2"/>
      </rPr>
      <t>pre</t>
    </r>
  </si>
  <si>
    <r>
      <t>t</t>
    </r>
    <r>
      <rPr>
        <i/>
        <vertAlign val="subscript"/>
        <sz val="11"/>
        <color theme="1"/>
        <rFont val="Calibri"/>
        <family val="2"/>
      </rPr>
      <t>o</t>
    </r>
  </si>
  <si>
    <r>
      <t>t</t>
    </r>
    <r>
      <rPr>
        <i/>
        <vertAlign val="subscript"/>
        <sz val="11"/>
        <color theme="1"/>
        <rFont val="Calibri"/>
        <family val="2"/>
      </rPr>
      <t>c</t>
    </r>
  </si>
  <si>
    <r>
      <t>t</t>
    </r>
    <r>
      <rPr>
        <i/>
        <vertAlign val="subscript"/>
        <sz val="11"/>
        <color theme="1"/>
        <rFont val="Calibri"/>
        <family val="2"/>
      </rPr>
      <t>cd</t>
    </r>
  </si>
  <si>
    <r>
      <t>t</t>
    </r>
    <r>
      <rPr>
        <i/>
        <vertAlign val="subscript"/>
        <sz val="11"/>
        <color theme="1"/>
        <rFont val="Calibri"/>
        <family val="2"/>
      </rPr>
      <t>s</t>
    </r>
  </si>
  <si>
    <r>
      <t>t</t>
    </r>
    <r>
      <rPr>
        <i/>
        <vertAlign val="subscript"/>
        <sz val="11"/>
        <color theme="1"/>
        <rFont val="Calibri"/>
        <family val="2"/>
      </rPr>
      <t>p</t>
    </r>
  </si>
  <si>
    <r>
      <t>UPPINT</t>
    </r>
    <r>
      <rPr>
        <i/>
        <vertAlign val="subscript"/>
        <sz val="11"/>
        <color theme="1"/>
        <rFont val="Calibri"/>
        <family val="2"/>
      </rPr>
      <t>t</t>
    </r>
  </si>
  <si>
    <r>
      <t>%CF</t>
    </r>
    <r>
      <rPr>
        <i/>
        <vertAlign val="subscript"/>
        <sz val="11"/>
        <color theme="1"/>
        <rFont val="Calibri"/>
        <family val="2"/>
      </rPr>
      <t>a</t>
    </r>
  </si>
  <si>
    <t xml:space="preserve">Passenger demand as a percentage of building population (%) </t>
  </si>
  <si>
    <t xml:space="preserve">Tartget uppeak interval (s)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</si>
</sst>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3F3F76"/>
      <name val="Calibri"/>
      <family val="2"/>
    </font>
    <font>
      <b/>
      <sz val="11"/>
      <color rgb="FFFA7D00"/>
      <name val="Calibri"/>
      <family val="2"/>
    </font>
    <font>
      <b/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25">
    <xf numFmtId="0" fontId="0" fillId="0" borderId="0" xfId="0"/>
    <xf numFmtId="0" fontId="3" fillId="0" borderId="0" xfId="0" applyFont="1"/>
    <xf numFmtId="9" fontId="0" fillId="0" borderId="0" xfId="0" applyNumberForma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2" borderId="1" xfId="1" applyFont="1" applyAlignment="1">
      <alignment horizontal="left"/>
    </xf>
    <xf numFmtId="9" fontId="9" fillId="3" borderId="1" xfId="2" applyNumberFormat="1" applyFont="1" applyAlignment="1">
      <alignment horizontal="left"/>
    </xf>
    <xf numFmtId="0" fontId="9" fillId="3" borderId="1" xfId="2" applyFont="1" applyAlignment="1">
      <alignment horizontal="left"/>
    </xf>
    <xf numFmtId="2" fontId="9" fillId="3" borderId="1" xfId="2" applyNumberFormat="1" applyFont="1" applyAlignment="1">
      <alignment horizontal="left"/>
    </xf>
    <xf numFmtId="164" fontId="9" fillId="3" borderId="1" xfId="2" applyNumberFormat="1" applyFont="1" applyAlignment="1">
      <alignment horizontal="left"/>
    </xf>
    <xf numFmtId="1" fontId="9" fillId="3" borderId="1" xfId="2" applyNumberFormat="1" applyFont="1" applyAlignment="1">
      <alignment horizontal="left"/>
    </xf>
    <xf numFmtId="165" fontId="9" fillId="3" borderId="1" xfId="2" applyNumberFormat="1" applyFont="1" applyAlignment="1">
      <alignment horizontal="left"/>
    </xf>
    <xf numFmtId="2" fontId="2" fillId="3" borderId="1" xfId="2" applyNumberFormat="1" applyAlignment="1">
      <alignment horizontal="left"/>
    </xf>
    <xf numFmtId="0" fontId="1" fillId="2" borderId="1" xfId="1" applyAlignment="1">
      <alignment horizontal="left"/>
    </xf>
    <xf numFmtId="164" fontId="0" fillId="0" borderId="0" xfId="0" applyNumberFormat="1"/>
    <xf numFmtId="9" fontId="2" fillId="3" borderId="1" xfId="2" applyNumberFormat="1" applyAlignment="1">
      <alignment horizontal="left"/>
    </xf>
    <xf numFmtId="0" fontId="2" fillId="3" borderId="1" xfId="2" applyAlignment="1">
      <alignment horizontal="left"/>
    </xf>
    <xf numFmtId="165" fontId="2" fillId="3" borderId="1" xfId="2" applyNumberFormat="1" applyAlignment="1">
      <alignment horizontal="left"/>
    </xf>
    <xf numFmtId="2" fontId="1" fillId="2" borderId="1" xfId="1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3">
    <cellStyle name="Calculation" xfId="2" builtinId="22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C7C9-0CD0-4487-BA0F-7590A418778C}">
  <dimension ref="A1:D56"/>
  <sheetViews>
    <sheetView tabSelected="1" zoomScale="130" zoomScaleNormal="130" workbookViewId="0">
      <selection activeCell="A41" sqref="A41"/>
    </sheetView>
  </sheetViews>
  <sheetFormatPr defaultRowHeight="15" x14ac:dyDescent="0.25"/>
  <cols>
    <col min="1" max="1" width="81.5703125" style="5" bestFit="1" customWidth="1"/>
    <col min="2" max="2" width="15.7109375" style="24" customWidth="1"/>
    <col min="3" max="3" width="10" style="5" customWidth="1"/>
    <col min="4" max="16384" width="9.140625" style="5"/>
  </cols>
  <sheetData>
    <row r="1" spans="1:4" x14ac:dyDescent="0.25">
      <c r="A1" s="4" t="s">
        <v>0</v>
      </c>
      <c r="B1" s="23"/>
    </row>
    <row r="3" spans="1:4" x14ac:dyDescent="0.25">
      <c r="A3" s="4" t="s">
        <v>1</v>
      </c>
      <c r="B3" s="23" t="s">
        <v>2</v>
      </c>
      <c r="C3" s="5" t="s">
        <v>3</v>
      </c>
    </row>
    <row r="4" spans="1:4" x14ac:dyDescent="0.25">
      <c r="A4" s="5" t="s">
        <v>4</v>
      </c>
      <c r="C4" s="6" t="s">
        <v>5</v>
      </c>
    </row>
    <row r="5" spans="1:4" x14ac:dyDescent="0.25">
      <c r="A5" s="20" t="s">
        <v>6</v>
      </c>
      <c r="B5" s="24" t="s">
        <v>7</v>
      </c>
      <c r="C5" s="6">
        <v>14</v>
      </c>
    </row>
    <row r="6" spans="1:4" x14ac:dyDescent="0.25">
      <c r="A6" s="5" t="s">
        <v>70</v>
      </c>
      <c r="B6" s="24" t="s">
        <v>71</v>
      </c>
      <c r="C6" s="6">
        <v>672</v>
      </c>
      <c r="D6"/>
    </row>
    <row r="7" spans="1:4" ht="18" x14ac:dyDescent="0.35">
      <c r="A7" s="5" t="s">
        <v>13</v>
      </c>
      <c r="B7" s="24" t="s">
        <v>89</v>
      </c>
      <c r="C7" s="19">
        <v>3.89</v>
      </c>
    </row>
    <row r="8" spans="1:4" x14ac:dyDescent="0.25">
      <c r="C8"/>
    </row>
    <row r="9" spans="1:4" x14ac:dyDescent="0.25">
      <c r="A9" s="4" t="s">
        <v>8</v>
      </c>
      <c r="C9"/>
    </row>
    <row r="10" spans="1:4" x14ac:dyDescent="0.25">
      <c r="A10" s="20" t="s">
        <v>105</v>
      </c>
      <c r="B10" s="21" t="s">
        <v>72</v>
      </c>
      <c r="C10" s="7">
        <f>VLOOKUP(C4, DesignCriteria, 2, FALSE)</f>
        <v>0.12</v>
      </c>
      <c r="D10"/>
    </row>
    <row r="11" spans="1:4" ht="18" x14ac:dyDescent="0.35">
      <c r="A11" s="5" t="s">
        <v>106</v>
      </c>
      <c r="B11" s="24" t="s">
        <v>103</v>
      </c>
      <c r="C11" s="8">
        <f>VLOOKUP(C4, DesignCriteria, 3, FALSE)</f>
        <v>30</v>
      </c>
      <c r="D11"/>
    </row>
    <row r="12" spans="1:4" ht="18" x14ac:dyDescent="0.35">
      <c r="A12" s="5" t="s">
        <v>73</v>
      </c>
      <c r="B12" s="24" t="s">
        <v>90</v>
      </c>
      <c r="C12" s="13">
        <f>VLOOKUP(C4, DesignCriteria, 4, FALSE)</f>
        <v>0.21</v>
      </c>
      <c r="D12"/>
    </row>
    <row r="13" spans="1:4" x14ac:dyDescent="0.25">
      <c r="A13" s="20" t="s">
        <v>74</v>
      </c>
      <c r="B13" s="24" t="s">
        <v>10</v>
      </c>
      <c r="C13" s="16">
        <v>0</v>
      </c>
      <c r="D13"/>
    </row>
    <row r="14" spans="1:4" x14ac:dyDescent="0.25">
      <c r="A14" s="20" t="s">
        <v>75</v>
      </c>
      <c r="B14" s="24" t="s">
        <v>76</v>
      </c>
      <c r="C14" s="10">
        <f>HCFive*Ueff</f>
        <v>80.64</v>
      </c>
    </row>
    <row r="15" spans="1:4" x14ac:dyDescent="0.25">
      <c r="A15" s="5" t="s">
        <v>11</v>
      </c>
      <c r="C15" s="8">
        <f>300/INT</f>
        <v>10</v>
      </c>
    </row>
    <row r="16" spans="1:4" x14ac:dyDescent="0.25">
      <c r="A16" s="20" t="s">
        <v>77</v>
      </c>
      <c r="B16" s="24" t="s">
        <v>12</v>
      </c>
      <c r="C16" s="10">
        <f>lambda/C15</f>
        <v>8.0640000000000001</v>
      </c>
    </row>
    <row r="17" spans="1:3" ht="18" x14ac:dyDescent="0.35">
      <c r="A17" s="5" t="s">
        <v>66</v>
      </c>
      <c r="B17" s="24" t="s">
        <v>91</v>
      </c>
      <c r="C17" s="10">
        <f>P/0.8</f>
        <v>10.08</v>
      </c>
    </row>
    <row r="18" spans="1:3" x14ac:dyDescent="0.25">
      <c r="A18" s="5" t="s">
        <v>67</v>
      </c>
      <c r="C18" s="9">
        <f>Pmax*Ap</f>
        <v>2.1168</v>
      </c>
    </row>
    <row r="19" spans="1:3" x14ac:dyDescent="0.25">
      <c r="A19" s="5" t="s">
        <v>79</v>
      </c>
      <c r="B19" s="24" t="s">
        <v>78</v>
      </c>
      <c r="C19" s="11">
        <f>MIN('Lookup tables'!J5:J14)</f>
        <v>1000</v>
      </c>
    </row>
    <row r="20" spans="1:3" ht="18" x14ac:dyDescent="0.35">
      <c r="A20" s="5" t="s">
        <v>68</v>
      </c>
      <c r="B20" s="24" t="s">
        <v>92</v>
      </c>
      <c r="C20" s="9">
        <f>VLOOKUP(RatedCapacity,CarSizes,3)</f>
        <v>2.4</v>
      </c>
    </row>
    <row r="21" spans="1:3" x14ac:dyDescent="0.25">
      <c r="A21" s="5" t="s">
        <v>80</v>
      </c>
      <c r="B21" s="24" t="s">
        <v>81</v>
      </c>
      <c r="C21" s="9">
        <f>N*df</f>
        <v>54.46</v>
      </c>
    </row>
    <row r="22" spans="1:3" ht="18" x14ac:dyDescent="0.35">
      <c r="A22" s="5" t="s">
        <v>14</v>
      </c>
      <c r="B22" s="24" t="s">
        <v>93</v>
      </c>
      <c r="C22" s="10">
        <f>df/v</f>
        <v>1.556</v>
      </c>
    </row>
    <row r="23" spans="1:3" x14ac:dyDescent="0.25">
      <c r="A23" s="5" t="s">
        <v>15</v>
      </c>
      <c r="B23" s="24" t="s">
        <v>16</v>
      </c>
      <c r="C23" s="9">
        <f>'Lookup tables'!E20</f>
        <v>2.5</v>
      </c>
    </row>
    <row r="24" spans="1:3" x14ac:dyDescent="0.25">
      <c r="A24" s="5" t="s">
        <v>17</v>
      </c>
      <c r="B24" s="24" t="s">
        <v>18</v>
      </c>
      <c r="C24" s="8">
        <f>VLOOKUP(v, Kinematics, 2, FALSE)</f>
        <v>0.8</v>
      </c>
    </row>
    <row r="25" spans="1:3" x14ac:dyDescent="0.25">
      <c r="A25" s="5" t="s">
        <v>19</v>
      </c>
      <c r="B25" s="24" t="s">
        <v>20</v>
      </c>
      <c r="C25" s="8">
        <f>VLOOKUP(v, Kinematics, 3, FALSE)</f>
        <v>0.5</v>
      </c>
    </row>
    <row r="26" spans="1:3" ht="18" x14ac:dyDescent="0.35">
      <c r="A26" s="5" t="s">
        <v>21</v>
      </c>
      <c r="B26" s="24" t="s">
        <v>94</v>
      </c>
      <c r="C26" s="17">
        <v>0.5</v>
      </c>
    </row>
    <row r="27" spans="1:3" ht="18" x14ac:dyDescent="0.35">
      <c r="A27" s="5" t="s">
        <v>22</v>
      </c>
      <c r="B27" s="24" t="s">
        <v>95</v>
      </c>
      <c r="C27" s="17">
        <v>0</v>
      </c>
    </row>
    <row r="28" spans="1:3" x14ac:dyDescent="0.25">
      <c r="A28" s="5" t="s">
        <v>69</v>
      </c>
      <c r="C28" s="8" t="str">
        <f>IF(df &gt;= (a^2 * v + v^2 * j) / (j * a),
    "A",
    IF(df &gt;= 2 * a^3 / j^2,
        "B",
        "C"
    )
)</f>
        <v>C</v>
      </c>
    </row>
    <row r="29" spans="1:3" ht="18" x14ac:dyDescent="0.35">
      <c r="A29" s="5" t="s">
        <v>82</v>
      </c>
      <c r="B29" s="24" t="s">
        <v>96</v>
      </c>
      <c r="C29" s="9">
        <f>IF(Condition="A",
    df/v + a/j + v/a,
    IF(Condition="B",
        a/j + (SQRT(a^3 + 4*df*j^2)/(SQRT(a)*j)),
        IF(Condition="C",
            (32*df/j)^(1/3),
            ""
        )
    )
) + tsd + tlevel</f>
        <v>6.7908576556280664</v>
      </c>
    </row>
    <row r="30" spans="1:3" x14ac:dyDescent="0.25">
      <c r="A30" s="5" t="s">
        <v>83</v>
      </c>
      <c r="C30" s="11">
        <f>VLOOKUP(RatedCapacity, CarSizes, 2, FALSE)</f>
        <v>1100</v>
      </c>
    </row>
    <row r="31" spans="1:3" ht="18" x14ac:dyDescent="0.35">
      <c r="A31" s="5" t="s">
        <v>84</v>
      </c>
      <c r="B31" s="24" t="s">
        <v>97</v>
      </c>
      <c r="C31" s="11">
        <f>VLOOKUP(DoorWidth, DoorTimes, 2, FALSE)</f>
        <v>0</v>
      </c>
    </row>
    <row r="32" spans="1:3" ht="18" x14ac:dyDescent="0.35">
      <c r="A32" s="5" t="s">
        <v>24</v>
      </c>
      <c r="B32" s="24" t="s">
        <v>98</v>
      </c>
      <c r="C32" s="8">
        <f>VLOOKUP(DoorWidth, DoorTimes, 3, FALSE)</f>
        <v>1.8</v>
      </c>
    </row>
    <row r="33" spans="1:3" ht="18" x14ac:dyDescent="0.35">
      <c r="A33" s="5" t="s">
        <v>25</v>
      </c>
      <c r="B33" s="24" t="s">
        <v>99</v>
      </c>
      <c r="C33" s="8">
        <f>VLOOKUP(DoorWidth, DoorTimes,4, FALSE)</f>
        <v>2.8</v>
      </c>
    </row>
    <row r="34" spans="1:3" ht="18" x14ac:dyDescent="0.35">
      <c r="A34" s="5" t="s">
        <v>26</v>
      </c>
      <c r="B34" s="24" t="s">
        <v>100</v>
      </c>
      <c r="C34" s="17">
        <v>0</v>
      </c>
    </row>
    <row r="35" spans="1:3" ht="18" x14ac:dyDescent="0.35">
      <c r="A35" s="5" t="s">
        <v>27</v>
      </c>
      <c r="B35" s="24" t="s">
        <v>101</v>
      </c>
      <c r="C35" s="9">
        <f>tc+tsd+tf-tpre+tl+to+tcd-tv</f>
        <v>10.334857655628067</v>
      </c>
    </row>
    <row r="36" spans="1:3" x14ac:dyDescent="0.25">
      <c r="A36" s="3" t="s">
        <v>28</v>
      </c>
      <c r="B36" s="24" t="s">
        <v>29</v>
      </c>
      <c r="C36" s="10">
        <f>N*(1-POWER((1-1/N),P))</f>
        <v>6.298226383292417</v>
      </c>
    </row>
    <row r="37" spans="1:3" x14ac:dyDescent="0.25">
      <c r="A37" s="3" t="s">
        <v>30</v>
      </c>
      <c r="B37" s="24" t="s">
        <v>31</v>
      </c>
      <c r="C37" s="10">
        <f>'Calculation of H'!E3</f>
        <v>12.907602471534553</v>
      </c>
    </row>
    <row r="38" spans="1:3" ht="18" x14ac:dyDescent="0.35">
      <c r="A38" s="3" t="s">
        <v>32</v>
      </c>
      <c r="B38" s="24" t="s">
        <v>102</v>
      </c>
      <c r="C38" s="11">
        <f>VLOOKUP(DoorWidth, PassengerTransferTimes, 'Lookup tables'!T14, FALSE)</f>
        <v>1</v>
      </c>
    </row>
    <row r="39" spans="1:3" x14ac:dyDescent="0.25">
      <c r="A39" s="5" t="s">
        <v>33</v>
      </c>
      <c r="B39" s="24" t="s">
        <v>34</v>
      </c>
      <c r="C39" s="10">
        <f xml:space="preserve"> (2*H*tv + (S+1)*ts + 2*P*tp) * (1 + LOSS)</f>
        <v>131.72258970129189</v>
      </c>
    </row>
    <row r="40" spans="1:3" x14ac:dyDescent="0.25">
      <c r="A40" s="5" t="s">
        <v>35</v>
      </c>
      <c r="B40" s="24" t="s">
        <v>36</v>
      </c>
      <c r="C40" s="8">
        <f>'Calculation of L'!F2</f>
        <v>5</v>
      </c>
    </row>
    <row r="41" spans="1:3" x14ac:dyDescent="0.25">
      <c r="A41" s="5" t="s">
        <v>85</v>
      </c>
      <c r="B41" s="24" t="s">
        <v>38</v>
      </c>
      <c r="C41" s="10">
        <f>300*P/UPPINT</f>
        <v>91.829351574624908</v>
      </c>
    </row>
    <row r="42" spans="1:3" x14ac:dyDescent="0.25">
      <c r="A42" s="5" t="s">
        <v>86</v>
      </c>
      <c r="B42" s="24" t="s">
        <v>37</v>
      </c>
      <c r="C42" s="10" cm="1">
        <f t="array" ref="C42">RTT/L</f>
        <v>26.344517940258378</v>
      </c>
    </row>
    <row r="43" spans="1:3" x14ac:dyDescent="0.25">
      <c r="A43" s="22" t="s">
        <v>87</v>
      </c>
      <c r="B43" s="24" t="s">
        <v>88</v>
      </c>
      <c r="C43" s="12">
        <f>UPPHC/Ueff</f>
        <v>0.13665082079557278</v>
      </c>
    </row>
    <row r="46" spans="1:3" x14ac:dyDescent="0.25">
      <c r="A46" s="4" t="s">
        <v>39</v>
      </c>
    </row>
    <row r="47" spans="1:3" x14ac:dyDescent="0.25">
      <c r="A47" s="5" t="s">
        <v>40</v>
      </c>
      <c r="C47" s="14">
        <v>1</v>
      </c>
    </row>
    <row r="48" spans="1:3" x14ac:dyDescent="0.25">
      <c r="A48" s="20" t="s">
        <v>77</v>
      </c>
      <c r="B48" s="24" t="s">
        <v>12</v>
      </c>
      <c r="C48" s="10">
        <f>P-Pderating</f>
        <v>7.0640000000000001</v>
      </c>
    </row>
    <row r="49" spans="1:3" x14ac:dyDescent="0.25">
      <c r="A49" s="3" t="s">
        <v>28</v>
      </c>
      <c r="B49" s="24" t="s">
        <v>29</v>
      </c>
      <c r="C49" s="10">
        <f>N*(1-POWER((1-1/N),PRequiredHC))</f>
        <v>5.7057822589302951</v>
      </c>
    </row>
    <row r="50" spans="1:3" x14ac:dyDescent="0.25">
      <c r="A50" s="3" t="s">
        <v>30</v>
      </c>
      <c r="B50" s="24" t="s">
        <v>31</v>
      </c>
      <c r="C50" s="10">
        <f>'Calculation of H'!K3</f>
        <v>12.721950899887457</v>
      </c>
    </row>
    <row r="51" spans="1:3" x14ac:dyDescent="0.25">
      <c r="A51" s="5" t="s">
        <v>33</v>
      </c>
      <c r="B51" s="24" t="s">
        <v>34</v>
      </c>
      <c r="C51" s="10">
        <f xml:space="preserve"> (2*HRequiredHC*tv + (SRequiredHC+1)*ts + 2*PRequiredHC*tp) * (1 + LOSS)</f>
        <v>123.0220163161304</v>
      </c>
    </row>
    <row r="52" spans="1:3" x14ac:dyDescent="0.25">
      <c r="A52" s="22" t="s">
        <v>75</v>
      </c>
      <c r="B52" s="24" t="s">
        <v>76</v>
      </c>
      <c r="C52" s="10">
        <f>lambda</f>
        <v>80.64</v>
      </c>
    </row>
    <row r="53" spans="1:3" x14ac:dyDescent="0.25">
      <c r="A53" s="5" t="s">
        <v>85</v>
      </c>
      <c r="B53" s="24" t="s">
        <v>38</v>
      </c>
      <c r="C53" s="10">
        <f>300*PRequiredHC/UPPINT</f>
        <v>80.441783174993844</v>
      </c>
    </row>
    <row r="54" spans="1:3" x14ac:dyDescent="0.25">
      <c r="A54" s="22" t="s">
        <v>87</v>
      </c>
      <c r="B54" s="21" t="s">
        <v>88</v>
      </c>
      <c r="C54" s="12" cm="1">
        <f t="array" ref="C54">UPPHCRequiredHC/Ueff</f>
        <v>0.11970503448659799</v>
      </c>
    </row>
    <row r="55" spans="1:3" x14ac:dyDescent="0.25">
      <c r="A55" s="5" t="s">
        <v>86</v>
      </c>
      <c r="B55" s="24" t="s">
        <v>37</v>
      </c>
      <c r="C55" s="10" cm="1">
        <f t="array" ref="C55">RTTRequiredHC/L</f>
        <v>24.604403263226082</v>
      </c>
    </row>
    <row r="56" spans="1:3" ht="18" x14ac:dyDescent="0.35">
      <c r="A56" s="5" t="s">
        <v>41</v>
      </c>
      <c r="B56" s="24" t="s">
        <v>104</v>
      </c>
      <c r="C56" s="18">
        <f>PRequiredHC*Ap/Ac</f>
        <v>0.61809999999999998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38F7773-1926-4811-8792-F6C440C4590D}">
          <x14:formula1>
            <xm:f>'Lookup tables'!$L$5:$L$7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B106-6DE7-472F-B0AB-ACE71A68F792}">
  <dimension ref="A1:AB20"/>
  <sheetViews>
    <sheetView topLeftCell="I1" workbookViewId="0">
      <selection activeCell="AA6" sqref="AA6"/>
    </sheetView>
  </sheetViews>
  <sheetFormatPr defaultRowHeight="15" x14ac:dyDescent="0.25"/>
  <cols>
    <col min="1" max="1" width="11.5703125" bestFit="1" customWidth="1"/>
    <col min="2" max="2" width="18.28515625" bestFit="1" customWidth="1"/>
    <col min="3" max="3" width="10.42578125" bestFit="1" customWidth="1"/>
    <col min="4" max="4" width="10.42578125" customWidth="1"/>
    <col min="5" max="6" width="17.5703125" customWidth="1"/>
    <col min="7" max="7" width="14.42578125" bestFit="1" customWidth="1"/>
    <col min="8" max="8" width="14.42578125" customWidth="1"/>
    <col min="9" max="9" width="22.140625" bestFit="1" customWidth="1"/>
    <col min="12" max="12" width="14.7109375" bestFit="1" customWidth="1"/>
    <col min="13" max="13" width="20.42578125" bestFit="1" customWidth="1"/>
    <col min="14" max="14" width="10.42578125" bestFit="1" customWidth="1"/>
    <col min="15" max="15" width="15" bestFit="1" customWidth="1"/>
    <col min="16" max="16" width="9.7109375" bestFit="1" customWidth="1"/>
    <col min="17" max="17" width="17.7109375" bestFit="1" customWidth="1"/>
    <col min="18" max="18" width="15" customWidth="1"/>
    <col min="20" max="20" width="20.7109375" bestFit="1" customWidth="1"/>
    <col min="25" max="26" width="15.28515625" customWidth="1"/>
    <col min="27" max="27" width="14.28515625" bestFit="1" customWidth="1"/>
    <col min="28" max="28" width="13.85546875" bestFit="1" customWidth="1"/>
  </cols>
  <sheetData>
    <row r="1" spans="1:28" x14ac:dyDescent="0.25">
      <c r="A1" s="1" t="s">
        <v>42</v>
      </c>
    </row>
    <row r="2" spans="1:28" x14ac:dyDescent="0.25">
      <c r="A2" s="1"/>
    </row>
    <row r="3" spans="1:28" x14ac:dyDescent="0.25">
      <c r="A3" s="1" t="s">
        <v>43</v>
      </c>
      <c r="G3" s="1" t="s">
        <v>44</v>
      </c>
      <c r="H3" s="1"/>
      <c r="L3" s="1" t="s">
        <v>45</v>
      </c>
      <c r="T3" s="1" t="s">
        <v>46</v>
      </c>
      <c r="Y3" s="1" t="s">
        <v>47</v>
      </c>
      <c r="Z3" s="1"/>
    </row>
    <row r="4" spans="1:28" ht="15" customHeight="1" x14ac:dyDescent="0.25">
      <c r="A4" t="s">
        <v>48</v>
      </c>
      <c r="B4" t="s">
        <v>17</v>
      </c>
      <c r="C4" t="s">
        <v>19</v>
      </c>
      <c r="D4" t="s">
        <v>64</v>
      </c>
      <c r="G4" t="s">
        <v>49</v>
      </c>
      <c r="H4" t="s">
        <v>23</v>
      </c>
      <c r="I4" t="s">
        <v>50</v>
      </c>
      <c r="L4" t="s">
        <v>4</v>
      </c>
      <c r="M4" t="s">
        <v>51</v>
      </c>
      <c r="N4" t="s">
        <v>52</v>
      </c>
      <c r="O4" t="s">
        <v>9</v>
      </c>
      <c r="P4" t="s">
        <v>63</v>
      </c>
      <c r="Q4" t="s">
        <v>53</v>
      </c>
      <c r="T4" t="s">
        <v>23</v>
      </c>
      <c r="U4" t="s">
        <v>5</v>
      </c>
      <c r="V4" t="s">
        <v>54</v>
      </c>
      <c r="W4" t="s">
        <v>55</v>
      </c>
      <c r="Y4" t="s">
        <v>23</v>
      </c>
      <c r="Z4" t="s">
        <v>56</v>
      </c>
      <c r="AA4" t="s">
        <v>57</v>
      </c>
      <c r="AB4" t="s">
        <v>58</v>
      </c>
    </row>
    <row r="5" spans="1:28" x14ac:dyDescent="0.25">
      <c r="A5">
        <v>0.4</v>
      </c>
      <c r="B5">
        <v>0.6</v>
      </c>
      <c r="C5">
        <v>0.4</v>
      </c>
      <c r="D5">
        <f>0</f>
        <v>0</v>
      </c>
      <c r="E5">
        <f>A5</f>
        <v>0.4</v>
      </c>
      <c r="G5">
        <v>450</v>
      </c>
      <c r="H5">
        <v>800</v>
      </c>
      <c r="I5">
        <v>1.3</v>
      </c>
      <c r="J5" t="str">
        <f>IF('Lookup tables'!I5&gt;=MinPlatformArea,'Lookup tables'!G5,"too small")</f>
        <v>too small</v>
      </c>
      <c r="L5" t="s">
        <v>5</v>
      </c>
      <c r="M5" s="2">
        <v>0.12</v>
      </c>
      <c r="N5">
        <v>30</v>
      </c>
      <c r="O5">
        <v>0.21</v>
      </c>
      <c r="P5">
        <v>20</v>
      </c>
      <c r="Q5" s="15">
        <f>dt/20</f>
        <v>2.7229999999999999</v>
      </c>
      <c r="T5">
        <v>800</v>
      </c>
      <c r="U5">
        <v>1.5</v>
      </c>
      <c r="V5">
        <v>2</v>
      </c>
      <c r="W5">
        <v>2</v>
      </c>
      <c r="Y5">
        <v>800</v>
      </c>
      <c r="Z5">
        <v>0</v>
      </c>
      <c r="AA5">
        <v>1.6</v>
      </c>
      <c r="AB5">
        <v>2.4</v>
      </c>
    </row>
    <row r="6" spans="1:28" x14ac:dyDescent="0.25">
      <c r="A6">
        <v>0.63</v>
      </c>
      <c r="B6">
        <v>0.6</v>
      </c>
      <c r="C6">
        <v>0.4</v>
      </c>
      <c r="D6">
        <f>A6*$M$9</f>
        <v>12.6</v>
      </c>
      <c r="E6">
        <f>IF(dt&lt;'Lookup tables'!D6,"too fast",'Lookup tables'!A6)</f>
        <v>0.63</v>
      </c>
      <c r="G6">
        <v>630</v>
      </c>
      <c r="H6">
        <v>800</v>
      </c>
      <c r="I6">
        <v>1.66</v>
      </c>
      <c r="J6" t="str">
        <f>IF('Lookup tables'!I6&gt;=MinPlatformArea,'Lookup tables'!G6,"too small")</f>
        <v>too small</v>
      </c>
      <c r="L6" t="s">
        <v>54</v>
      </c>
      <c r="M6" s="2">
        <v>0.12</v>
      </c>
      <c r="N6">
        <v>60</v>
      </c>
      <c r="O6">
        <v>0.3</v>
      </c>
      <c r="P6">
        <v>25</v>
      </c>
      <c r="Q6" s="15">
        <f>dt/25</f>
        <v>2.1783999999999999</v>
      </c>
      <c r="T6">
        <v>900</v>
      </c>
      <c r="U6">
        <v>1.2</v>
      </c>
      <c r="V6">
        <v>1.7</v>
      </c>
      <c r="W6">
        <v>1.7</v>
      </c>
      <c r="Y6">
        <v>900</v>
      </c>
      <c r="Z6">
        <v>0</v>
      </c>
      <c r="AA6">
        <v>1.6</v>
      </c>
      <c r="AB6">
        <v>2.4</v>
      </c>
    </row>
    <row r="7" spans="1:28" x14ac:dyDescent="0.25">
      <c r="A7">
        <v>0.75</v>
      </c>
      <c r="B7">
        <v>0.6</v>
      </c>
      <c r="C7">
        <v>0.4</v>
      </c>
      <c r="D7">
        <f t="shared" ref="D7:D18" si="0">A7*$M$9</f>
        <v>15</v>
      </c>
      <c r="E7">
        <f>IF(dt&lt;'Lookup tables'!D7,"too fast",'Lookup tables'!A7)</f>
        <v>0.75</v>
      </c>
      <c r="G7">
        <v>800</v>
      </c>
      <c r="H7">
        <v>800</v>
      </c>
      <c r="I7">
        <v>2</v>
      </c>
      <c r="J7" t="str">
        <f>IF('Lookup tables'!I7&gt;=MinPlatformArea,'Lookup tables'!G7,"too small")</f>
        <v>too small</v>
      </c>
      <c r="L7" t="s">
        <v>55</v>
      </c>
      <c r="M7" s="2">
        <v>0.06</v>
      </c>
      <c r="N7">
        <v>60</v>
      </c>
      <c r="O7">
        <v>0.3</v>
      </c>
      <c r="P7">
        <v>25</v>
      </c>
      <c r="Q7" s="15">
        <f>dt/25</f>
        <v>2.1783999999999999</v>
      </c>
      <c r="T7">
        <v>1100</v>
      </c>
      <c r="U7">
        <v>1</v>
      </c>
      <c r="V7">
        <v>1.5</v>
      </c>
      <c r="W7">
        <v>1.5</v>
      </c>
      <c r="Y7">
        <v>1000</v>
      </c>
      <c r="Z7">
        <v>0</v>
      </c>
      <c r="AA7">
        <v>1.7</v>
      </c>
      <c r="AB7">
        <v>2.6</v>
      </c>
    </row>
    <row r="8" spans="1:28" x14ac:dyDescent="0.25">
      <c r="A8">
        <v>1</v>
      </c>
      <c r="B8">
        <v>0.6</v>
      </c>
      <c r="C8">
        <v>0.4</v>
      </c>
      <c r="D8">
        <f t="shared" si="0"/>
        <v>20</v>
      </c>
      <c r="E8">
        <f>IF(dt&lt;'Lookup tables'!D8,"too fast",'Lookup tables'!A8)</f>
        <v>1</v>
      </c>
      <c r="G8">
        <v>1000</v>
      </c>
      <c r="H8">
        <v>1100</v>
      </c>
      <c r="I8">
        <v>2.4</v>
      </c>
      <c r="J8">
        <f>IF('Lookup tables'!I8&gt;=MinPlatformArea,'Lookup tables'!G8,"too small")</f>
        <v>1000</v>
      </c>
      <c r="T8">
        <v>1200</v>
      </c>
      <c r="U8">
        <v>0.9</v>
      </c>
      <c r="V8">
        <v>1.4</v>
      </c>
      <c r="W8">
        <v>1.4</v>
      </c>
      <c r="Y8">
        <v>1100</v>
      </c>
      <c r="Z8">
        <v>0</v>
      </c>
      <c r="AA8">
        <v>1.8</v>
      </c>
      <c r="AB8">
        <v>2.8</v>
      </c>
    </row>
    <row r="9" spans="1:28" x14ac:dyDescent="0.25">
      <c r="A9">
        <v>1.6</v>
      </c>
      <c r="B9">
        <v>0.6</v>
      </c>
      <c r="C9">
        <v>0.4</v>
      </c>
      <c r="D9">
        <f t="shared" si="0"/>
        <v>32</v>
      </c>
      <c r="E9">
        <f>IF(dt&lt;'Lookup tables'!D9,"too fast",'Lookup tables'!A9)</f>
        <v>1.6</v>
      </c>
      <c r="G9">
        <v>1275</v>
      </c>
      <c r="H9">
        <v>1100</v>
      </c>
      <c r="I9">
        <v>2.95</v>
      </c>
      <c r="J9">
        <f>IF('Lookup tables'!I9&gt;=MinPlatformArea,'Lookup tables'!G9,"too small")</f>
        <v>1275</v>
      </c>
      <c r="L9" t="s">
        <v>63</v>
      </c>
      <c r="M9">
        <f>VLOOKUP('Input and Results'!C4,[0]!DesignCriteria,5)</f>
        <v>20</v>
      </c>
    </row>
    <row r="10" spans="1:28" x14ac:dyDescent="0.25">
      <c r="A10">
        <v>1.75</v>
      </c>
      <c r="B10">
        <v>0.6</v>
      </c>
      <c r="C10">
        <v>0.4</v>
      </c>
      <c r="D10">
        <f t="shared" si="0"/>
        <v>35</v>
      </c>
      <c r="E10">
        <f>IF(dt&lt;'Lookup tables'!D10,"too fast",'Lookup tables'!A10)</f>
        <v>1.75</v>
      </c>
      <c r="G10">
        <v>1350</v>
      </c>
      <c r="H10">
        <v>1100</v>
      </c>
      <c r="I10">
        <v>3.1</v>
      </c>
      <c r="J10">
        <f>IF('Lookup tables'!I10&gt;=MinPlatformArea,'Lookup tables'!G10,"too small")</f>
        <v>1350</v>
      </c>
      <c r="T10" t="s">
        <v>4</v>
      </c>
    </row>
    <row r="11" spans="1:28" x14ac:dyDescent="0.25">
      <c r="A11">
        <v>2</v>
      </c>
      <c r="B11">
        <v>0.6</v>
      </c>
      <c r="C11">
        <v>0.4</v>
      </c>
      <c r="D11">
        <f t="shared" si="0"/>
        <v>40</v>
      </c>
      <c r="E11">
        <f>IF(dt&lt;'Lookup tables'!D11,"too fast",'Lookup tables'!A11)</f>
        <v>2</v>
      </c>
      <c r="G11">
        <v>1600</v>
      </c>
      <c r="H11">
        <v>1100</v>
      </c>
      <c r="I11">
        <v>3.56</v>
      </c>
      <c r="J11">
        <f>IF('Lookup tables'!I11&gt;=MinPlatformArea,'Lookup tables'!G11,"too small")</f>
        <v>1600</v>
      </c>
      <c r="T11" t="str">
        <f>'Input and Results'!C4</f>
        <v>Office</v>
      </c>
    </row>
    <row r="12" spans="1:28" x14ac:dyDescent="0.25">
      <c r="A12">
        <v>2.5</v>
      </c>
      <c r="B12">
        <v>0.8</v>
      </c>
      <c r="C12">
        <v>0.5</v>
      </c>
      <c r="D12">
        <f t="shared" si="0"/>
        <v>50</v>
      </c>
      <c r="E12">
        <f>IF(dt&lt;'Lookup tables'!D12,"too fast",'Lookup tables'!A12)</f>
        <v>2.5</v>
      </c>
      <c r="G12">
        <v>1800</v>
      </c>
      <c r="H12">
        <v>1100</v>
      </c>
      <c r="I12">
        <v>3.88</v>
      </c>
      <c r="J12">
        <f>IF('Lookup tables'!I12&gt;=MinPlatformArea,'Lookup tables'!G12,"too small")</f>
        <v>1800</v>
      </c>
    </row>
    <row r="13" spans="1:28" x14ac:dyDescent="0.25">
      <c r="A13">
        <v>3</v>
      </c>
      <c r="B13">
        <v>0.9</v>
      </c>
      <c r="C13">
        <v>0.6</v>
      </c>
      <c r="D13">
        <f t="shared" si="0"/>
        <v>60</v>
      </c>
      <c r="E13" t="str">
        <f>IF(dt&lt;'Lookup tables'!D13,"too fast",'Lookup tables'!A13)</f>
        <v>too fast</v>
      </c>
      <c r="G13">
        <v>2000</v>
      </c>
      <c r="H13">
        <v>1100</v>
      </c>
      <c r="I13">
        <v>4.2</v>
      </c>
      <c r="J13">
        <f>IF('Lookup tables'!I13&gt;=MinPlatformArea,'Lookup tables'!G13,"too small")</f>
        <v>2000</v>
      </c>
      <c r="T13" t="s">
        <v>59</v>
      </c>
    </row>
    <row r="14" spans="1:28" x14ac:dyDescent="0.25">
      <c r="A14">
        <v>3.5</v>
      </c>
      <c r="B14">
        <v>0.9</v>
      </c>
      <c r="C14">
        <v>0.6</v>
      </c>
      <c r="D14">
        <f t="shared" si="0"/>
        <v>70</v>
      </c>
      <c r="E14" t="str">
        <f>IF(dt&lt;'Lookup tables'!D14,"too fast",'Lookup tables'!A14)</f>
        <v>too fast</v>
      </c>
      <c r="G14">
        <v>2500</v>
      </c>
      <c r="H14">
        <v>1100</v>
      </c>
      <c r="I14">
        <v>5</v>
      </c>
      <c r="J14">
        <f>IF('Lookup tables'!I14&gt;=MinPlatformArea,'Lookup tables'!G14,"too small")</f>
        <v>2500</v>
      </c>
      <c r="T14">
        <f>IF(T11=U4,2,IF(T11=V4,3,4))</f>
        <v>2</v>
      </c>
    </row>
    <row r="15" spans="1:28" x14ac:dyDescent="0.25">
      <c r="A15">
        <v>4</v>
      </c>
      <c r="B15">
        <v>0.9</v>
      </c>
      <c r="C15">
        <v>0.6</v>
      </c>
      <c r="D15">
        <f t="shared" si="0"/>
        <v>80</v>
      </c>
      <c r="E15" t="str">
        <f>IF(dt&lt;'Lookup tables'!D15,"too fast",'Lookup tables'!A15)</f>
        <v>too fast</v>
      </c>
    </row>
    <row r="16" spans="1:28" x14ac:dyDescent="0.25">
      <c r="A16">
        <v>5</v>
      </c>
      <c r="B16">
        <v>0.9</v>
      </c>
      <c r="C16">
        <v>0.6</v>
      </c>
      <c r="D16">
        <f t="shared" si="0"/>
        <v>100</v>
      </c>
      <c r="E16" t="str">
        <f>IF(dt&lt;'Lookup tables'!D16,"too fast",'Lookup tables'!A16)</f>
        <v>too fast</v>
      </c>
    </row>
    <row r="17" spans="1:5" x14ac:dyDescent="0.25">
      <c r="A17">
        <v>6</v>
      </c>
      <c r="B17">
        <v>0.9</v>
      </c>
      <c r="C17">
        <v>0.6</v>
      </c>
      <c r="D17">
        <f t="shared" si="0"/>
        <v>120</v>
      </c>
      <c r="E17" t="str">
        <f>IF(dt&lt;'Lookup tables'!D17,"too fast",'Lookup tables'!A17)</f>
        <v>too fast</v>
      </c>
    </row>
    <row r="18" spans="1:5" x14ac:dyDescent="0.25">
      <c r="A18">
        <v>7</v>
      </c>
      <c r="B18">
        <v>0.9</v>
      </c>
      <c r="C18">
        <v>0.6</v>
      </c>
      <c r="D18">
        <f t="shared" si="0"/>
        <v>140</v>
      </c>
      <c r="E18" t="str">
        <f>IF(dt&lt;'Lookup tables'!D18,"too fast",'Lookup tables'!A18)</f>
        <v>too fast</v>
      </c>
    </row>
    <row r="20" spans="1:5" x14ac:dyDescent="0.25">
      <c r="D20" t="s">
        <v>65</v>
      </c>
      <c r="E20">
        <f>MAX(E5:E18)</f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BAD2-BAFE-4B0C-9E2E-6EDE1B143656}">
  <dimension ref="A1:K52"/>
  <sheetViews>
    <sheetView workbookViewId="0">
      <selection activeCell="B4" sqref="B4"/>
    </sheetView>
  </sheetViews>
  <sheetFormatPr defaultRowHeight="15" x14ac:dyDescent="0.25"/>
  <cols>
    <col min="2" max="2" width="12" bestFit="1" customWidth="1"/>
    <col min="8" max="8" width="12" bestFit="1" customWidth="1"/>
  </cols>
  <sheetData>
    <row r="1" spans="1:11" x14ac:dyDescent="0.25">
      <c r="A1" s="1" t="s">
        <v>60</v>
      </c>
    </row>
    <row r="3" spans="1:11" ht="18" x14ac:dyDescent="0.35">
      <c r="A3">
        <v>1</v>
      </c>
      <c r="B3">
        <f t="shared" ref="B3:B34" si="0">IF(A3&lt;N, POWER(A3/N, P),0)</f>
        <v>5.7229970268796257E-10</v>
      </c>
      <c r="D3" t="s">
        <v>31</v>
      </c>
      <c r="E3">
        <f>N-SUM(B:B)</f>
        <v>12.907602471534553</v>
      </c>
      <c r="G3">
        <v>1</v>
      </c>
      <c r="H3">
        <f t="shared" ref="H3:H34" si="1">IF(G3&lt;N, POWER(G3/N, PRequiredHC),0)</f>
        <v>8.0121958376314773E-9</v>
      </c>
      <c r="J3" t="s">
        <v>61</v>
      </c>
      <c r="K3">
        <f>N-SUM(H:H)</f>
        <v>12.721950899887457</v>
      </c>
    </row>
    <row r="4" spans="1:11" x14ac:dyDescent="0.25">
      <c r="A4">
        <v>2</v>
      </c>
      <c r="B4">
        <f t="shared" si="0"/>
        <v>1.5315437428461459E-7</v>
      </c>
      <c r="G4">
        <v>2</v>
      </c>
      <c r="H4">
        <f t="shared" si="1"/>
        <v>1.0720806199923022E-6</v>
      </c>
    </row>
    <row r="5" spans="1:11" x14ac:dyDescent="0.25">
      <c r="A5">
        <v>3</v>
      </c>
      <c r="B5">
        <f t="shared" si="0"/>
        <v>4.0283696782450379E-6</v>
      </c>
      <c r="G5">
        <v>3</v>
      </c>
      <c r="H5">
        <f t="shared" si="1"/>
        <v>1.8799058498476859E-5</v>
      </c>
    </row>
    <row r="6" spans="1:11" x14ac:dyDescent="0.25">
      <c r="A6">
        <v>4</v>
      </c>
      <c r="B6">
        <f t="shared" si="0"/>
        <v>4.0985976844550224E-5</v>
      </c>
      <c r="G6">
        <v>4</v>
      </c>
      <c r="H6">
        <f t="shared" si="1"/>
        <v>1.4345091895592578E-4</v>
      </c>
    </row>
    <row r="7" spans="1:11" x14ac:dyDescent="0.25">
      <c r="A7">
        <v>5</v>
      </c>
      <c r="B7">
        <f t="shared" si="0"/>
        <v>2.4780931959137576E-4</v>
      </c>
      <c r="G7">
        <v>5</v>
      </c>
      <c r="H7">
        <f t="shared" si="1"/>
        <v>6.9386609485585225E-4</v>
      </c>
    </row>
    <row r="8" spans="1:11" x14ac:dyDescent="0.25">
      <c r="A8">
        <v>6</v>
      </c>
      <c r="B8">
        <f t="shared" si="0"/>
        <v>1.0780408142115042E-3</v>
      </c>
      <c r="G8">
        <v>6</v>
      </c>
      <c r="H8">
        <f t="shared" si="1"/>
        <v>2.5154285664935093E-3</v>
      </c>
    </row>
    <row r="9" spans="1:11" x14ac:dyDescent="0.25">
      <c r="A9">
        <v>7</v>
      </c>
      <c r="B9">
        <f t="shared" si="0"/>
        <v>3.7367506175463843E-3</v>
      </c>
      <c r="G9">
        <v>7</v>
      </c>
      <c r="H9">
        <f t="shared" si="1"/>
        <v>7.4735012350927695E-3</v>
      </c>
    </row>
    <row r="10" spans="1:11" x14ac:dyDescent="0.25">
      <c r="A10">
        <v>8</v>
      </c>
      <c r="B10">
        <f t="shared" si="0"/>
        <v>1.0968346844473741E-2</v>
      </c>
      <c r="G10">
        <v>8</v>
      </c>
      <c r="H10">
        <f t="shared" si="1"/>
        <v>1.9194606977829046E-2</v>
      </c>
    </row>
    <row r="11" spans="1:11" x14ac:dyDescent="0.25">
      <c r="A11">
        <v>9</v>
      </c>
      <c r="B11">
        <f t="shared" si="0"/>
        <v>2.8355356797122054E-2</v>
      </c>
      <c r="G11">
        <v>9</v>
      </c>
      <c r="H11">
        <f t="shared" si="1"/>
        <v>4.4108332795523196E-2</v>
      </c>
    </row>
    <row r="12" spans="1:11" x14ac:dyDescent="0.25">
      <c r="A12">
        <v>10</v>
      </c>
      <c r="B12">
        <f t="shared" si="0"/>
        <v>6.6316793640912433E-2</v>
      </c>
      <c r="G12">
        <v>10</v>
      </c>
      <c r="H12">
        <f t="shared" si="1"/>
        <v>9.2843511097277398E-2</v>
      </c>
    </row>
    <row r="13" spans="1:11" x14ac:dyDescent="0.25">
      <c r="A13">
        <v>11</v>
      </c>
      <c r="B13">
        <f t="shared" si="0"/>
        <v>0.14302571693694402</v>
      </c>
      <c r="G13">
        <v>11</v>
      </c>
      <c r="H13">
        <f t="shared" si="1"/>
        <v>0.18203273064701964</v>
      </c>
    </row>
    <row r="14" spans="1:11" x14ac:dyDescent="0.25">
      <c r="A14">
        <v>12</v>
      </c>
      <c r="B14">
        <f t="shared" si="0"/>
        <v>0.28849685851376522</v>
      </c>
      <c r="G14">
        <v>12</v>
      </c>
      <c r="H14">
        <f t="shared" si="1"/>
        <v>0.33657966826605951</v>
      </c>
    </row>
    <row r="15" spans="1:11" x14ac:dyDescent="0.25">
      <c r="A15">
        <v>13</v>
      </c>
      <c r="B15">
        <f t="shared" si="0"/>
        <v>0.55012668690768451</v>
      </c>
      <c r="G15">
        <v>13</v>
      </c>
      <c r="H15">
        <f t="shared" si="1"/>
        <v>0.59244412436212179</v>
      </c>
    </row>
    <row r="16" spans="1:11" x14ac:dyDescent="0.25">
      <c r="A16">
        <v>14</v>
      </c>
      <c r="B16">
        <f t="shared" si="0"/>
        <v>0</v>
      </c>
      <c r="G16">
        <v>14</v>
      </c>
      <c r="H16">
        <f t="shared" si="1"/>
        <v>0</v>
      </c>
    </row>
    <row r="17" spans="1:8" x14ac:dyDescent="0.25">
      <c r="A17">
        <v>15</v>
      </c>
      <c r="B17">
        <f t="shared" si="0"/>
        <v>0</v>
      </c>
      <c r="G17">
        <v>15</v>
      </c>
      <c r="H17">
        <f t="shared" si="1"/>
        <v>0</v>
      </c>
    </row>
    <row r="18" spans="1:8" x14ac:dyDescent="0.25">
      <c r="A18">
        <v>16</v>
      </c>
      <c r="B18">
        <f t="shared" si="0"/>
        <v>0</v>
      </c>
      <c r="G18">
        <v>16</v>
      </c>
      <c r="H18">
        <f t="shared" si="1"/>
        <v>0</v>
      </c>
    </row>
    <row r="19" spans="1:8" x14ac:dyDescent="0.25">
      <c r="A19">
        <v>17</v>
      </c>
      <c r="B19">
        <f t="shared" si="0"/>
        <v>0</v>
      </c>
      <c r="G19">
        <v>17</v>
      </c>
      <c r="H19">
        <f t="shared" si="1"/>
        <v>0</v>
      </c>
    </row>
    <row r="20" spans="1:8" x14ac:dyDescent="0.25">
      <c r="A20">
        <v>18</v>
      </c>
      <c r="B20">
        <f t="shared" si="0"/>
        <v>0</v>
      </c>
      <c r="G20">
        <v>18</v>
      </c>
      <c r="H20">
        <f t="shared" si="1"/>
        <v>0</v>
      </c>
    </row>
    <row r="21" spans="1:8" x14ac:dyDescent="0.25">
      <c r="A21">
        <v>19</v>
      </c>
      <c r="B21">
        <f t="shared" si="0"/>
        <v>0</v>
      </c>
      <c r="G21">
        <v>19</v>
      </c>
      <c r="H21">
        <f t="shared" si="1"/>
        <v>0</v>
      </c>
    </row>
    <row r="22" spans="1:8" x14ac:dyDescent="0.25">
      <c r="A22">
        <v>20</v>
      </c>
      <c r="B22">
        <f t="shared" si="0"/>
        <v>0</v>
      </c>
      <c r="G22">
        <v>20</v>
      </c>
      <c r="H22">
        <f t="shared" si="1"/>
        <v>0</v>
      </c>
    </row>
    <row r="23" spans="1:8" x14ac:dyDescent="0.25">
      <c r="A23">
        <v>21</v>
      </c>
      <c r="B23">
        <f t="shared" si="0"/>
        <v>0</v>
      </c>
      <c r="G23">
        <v>21</v>
      </c>
      <c r="H23">
        <f t="shared" si="1"/>
        <v>0</v>
      </c>
    </row>
    <row r="24" spans="1:8" x14ac:dyDescent="0.25">
      <c r="A24">
        <v>22</v>
      </c>
      <c r="B24">
        <f t="shared" si="0"/>
        <v>0</v>
      </c>
      <c r="G24">
        <v>22</v>
      </c>
      <c r="H24">
        <f t="shared" si="1"/>
        <v>0</v>
      </c>
    </row>
    <row r="25" spans="1:8" x14ac:dyDescent="0.25">
      <c r="A25">
        <v>23</v>
      </c>
      <c r="B25">
        <f t="shared" si="0"/>
        <v>0</v>
      </c>
      <c r="G25">
        <v>23</v>
      </c>
      <c r="H25">
        <f t="shared" si="1"/>
        <v>0</v>
      </c>
    </row>
    <row r="26" spans="1:8" x14ac:dyDescent="0.25">
      <c r="A26">
        <v>24</v>
      </c>
      <c r="B26">
        <f t="shared" si="0"/>
        <v>0</v>
      </c>
      <c r="G26">
        <v>24</v>
      </c>
      <c r="H26">
        <f t="shared" si="1"/>
        <v>0</v>
      </c>
    </row>
    <row r="27" spans="1:8" x14ac:dyDescent="0.25">
      <c r="A27">
        <v>25</v>
      </c>
      <c r="B27">
        <f t="shared" si="0"/>
        <v>0</v>
      </c>
      <c r="G27">
        <v>25</v>
      </c>
      <c r="H27">
        <f t="shared" si="1"/>
        <v>0</v>
      </c>
    </row>
    <row r="28" spans="1:8" x14ac:dyDescent="0.25">
      <c r="A28">
        <v>26</v>
      </c>
      <c r="B28">
        <f t="shared" si="0"/>
        <v>0</v>
      </c>
      <c r="G28">
        <v>26</v>
      </c>
      <c r="H28">
        <f t="shared" si="1"/>
        <v>0</v>
      </c>
    </row>
    <row r="29" spans="1:8" x14ac:dyDescent="0.25">
      <c r="A29">
        <v>27</v>
      </c>
      <c r="B29">
        <f t="shared" si="0"/>
        <v>0</v>
      </c>
      <c r="G29">
        <v>27</v>
      </c>
      <c r="H29">
        <f t="shared" si="1"/>
        <v>0</v>
      </c>
    </row>
    <row r="30" spans="1:8" x14ac:dyDescent="0.25">
      <c r="A30">
        <v>28</v>
      </c>
      <c r="B30">
        <f t="shared" si="0"/>
        <v>0</v>
      </c>
      <c r="G30">
        <v>28</v>
      </c>
      <c r="H30">
        <f t="shared" si="1"/>
        <v>0</v>
      </c>
    </row>
    <row r="31" spans="1:8" x14ac:dyDescent="0.25">
      <c r="A31">
        <v>29</v>
      </c>
      <c r="B31">
        <f t="shared" si="0"/>
        <v>0</v>
      </c>
      <c r="G31">
        <v>29</v>
      </c>
      <c r="H31">
        <f t="shared" si="1"/>
        <v>0</v>
      </c>
    </row>
    <row r="32" spans="1:8" x14ac:dyDescent="0.25">
      <c r="A32">
        <v>30</v>
      </c>
      <c r="B32">
        <f t="shared" si="0"/>
        <v>0</v>
      </c>
      <c r="G32">
        <v>30</v>
      </c>
      <c r="H32">
        <f t="shared" si="1"/>
        <v>0</v>
      </c>
    </row>
    <row r="33" spans="1:8" x14ac:dyDescent="0.25">
      <c r="A33">
        <v>31</v>
      </c>
      <c r="B33">
        <f t="shared" si="0"/>
        <v>0</v>
      </c>
      <c r="G33">
        <v>31</v>
      </c>
      <c r="H33">
        <f t="shared" si="1"/>
        <v>0</v>
      </c>
    </row>
    <row r="34" spans="1:8" x14ac:dyDescent="0.25">
      <c r="A34">
        <v>32</v>
      </c>
      <c r="B34">
        <f t="shared" si="0"/>
        <v>0</v>
      </c>
      <c r="G34">
        <v>32</v>
      </c>
      <c r="H34">
        <f t="shared" si="1"/>
        <v>0</v>
      </c>
    </row>
    <row r="35" spans="1:8" x14ac:dyDescent="0.25">
      <c r="A35">
        <v>33</v>
      </c>
      <c r="B35">
        <f t="shared" ref="B35:B52" si="2">IF(A35&lt;N, POWER(A35/N, P),0)</f>
        <v>0</v>
      </c>
      <c r="G35">
        <v>33</v>
      </c>
      <c r="H35">
        <f t="shared" ref="H35:H52" si="3">IF(G35&lt;N, POWER(G35/N, PRequiredHC),0)</f>
        <v>0</v>
      </c>
    </row>
    <row r="36" spans="1:8" x14ac:dyDescent="0.25">
      <c r="A36">
        <v>34</v>
      </c>
      <c r="B36">
        <f t="shared" si="2"/>
        <v>0</v>
      </c>
      <c r="G36">
        <v>34</v>
      </c>
      <c r="H36">
        <f t="shared" si="3"/>
        <v>0</v>
      </c>
    </row>
    <row r="37" spans="1:8" x14ac:dyDescent="0.25">
      <c r="A37">
        <v>35</v>
      </c>
      <c r="B37">
        <f t="shared" si="2"/>
        <v>0</v>
      </c>
      <c r="G37">
        <v>35</v>
      </c>
      <c r="H37">
        <f t="shared" si="3"/>
        <v>0</v>
      </c>
    </row>
    <row r="38" spans="1:8" x14ac:dyDescent="0.25">
      <c r="A38">
        <v>36</v>
      </c>
      <c r="B38">
        <f t="shared" si="2"/>
        <v>0</v>
      </c>
      <c r="G38">
        <v>36</v>
      </c>
      <c r="H38">
        <f t="shared" si="3"/>
        <v>0</v>
      </c>
    </row>
    <row r="39" spans="1:8" x14ac:dyDescent="0.25">
      <c r="A39">
        <v>37</v>
      </c>
      <c r="B39">
        <f t="shared" si="2"/>
        <v>0</v>
      </c>
      <c r="G39">
        <v>37</v>
      </c>
      <c r="H39">
        <f t="shared" si="3"/>
        <v>0</v>
      </c>
    </row>
    <row r="40" spans="1:8" x14ac:dyDescent="0.25">
      <c r="A40">
        <v>38</v>
      </c>
      <c r="B40">
        <f t="shared" si="2"/>
        <v>0</v>
      </c>
      <c r="G40">
        <v>38</v>
      </c>
      <c r="H40">
        <f t="shared" si="3"/>
        <v>0</v>
      </c>
    </row>
    <row r="41" spans="1:8" x14ac:dyDescent="0.25">
      <c r="A41">
        <v>39</v>
      </c>
      <c r="B41">
        <f t="shared" si="2"/>
        <v>0</v>
      </c>
      <c r="G41">
        <v>39</v>
      </c>
      <c r="H41">
        <f t="shared" si="3"/>
        <v>0</v>
      </c>
    </row>
    <row r="42" spans="1:8" x14ac:dyDescent="0.25">
      <c r="A42">
        <v>40</v>
      </c>
      <c r="B42">
        <f t="shared" si="2"/>
        <v>0</v>
      </c>
      <c r="G42">
        <v>40</v>
      </c>
      <c r="H42">
        <f t="shared" si="3"/>
        <v>0</v>
      </c>
    </row>
    <row r="43" spans="1:8" x14ac:dyDescent="0.25">
      <c r="A43">
        <v>41</v>
      </c>
      <c r="B43">
        <f t="shared" si="2"/>
        <v>0</v>
      </c>
      <c r="G43">
        <v>41</v>
      </c>
      <c r="H43">
        <f t="shared" si="3"/>
        <v>0</v>
      </c>
    </row>
    <row r="44" spans="1:8" x14ac:dyDescent="0.25">
      <c r="A44">
        <v>42</v>
      </c>
      <c r="B44">
        <f t="shared" si="2"/>
        <v>0</v>
      </c>
      <c r="G44">
        <v>42</v>
      </c>
      <c r="H44">
        <f t="shared" si="3"/>
        <v>0</v>
      </c>
    </row>
    <row r="45" spans="1:8" x14ac:dyDescent="0.25">
      <c r="A45">
        <v>43</v>
      </c>
      <c r="B45">
        <f t="shared" si="2"/>
        <v>0</v>
      </c>
      <c r="G45">
        <v>43</v>
      </c>
      <c r="H45">
        <f t="shared" si="3"/>
        <v>0</v>
      </c>
    </row>
    <row r="46" spans="1:8" x14ac:dyDescent="0.25">
      <c r="A46">
        <v>44</v>
      </c>
      <c r="B46">
        <f t="shared" si="2"/>
        <v>0</v>
      </c>
      <c r="G46">
        <v>44</v>
      </c>
      <c r="H46">
        <f t="shared" si="3"/>
        <v>0</v>
      </c>
    </row>
    <row r="47" spans="1:8" x14ac:dyDescent="0.25">
      <c r="A47">
        <v>45</v>
      </c>
      <c r="B47">
        <f t="shared" si="2"/>
        <v>0</v>
      </c>
      <c r="G47">
        <v>45</v>
      </c>
      <c r="H47">
        <f t="shared" si="3"/>
        <v>0</v>
      </c>
    </row>
    <row r="48" spans="1:8" x14ac:dyDescent="0.25">
      <c r="A48">
        <v>46</v>
      </c>
      <c r="B48">
        <f t="shared" si="2"/>
        <v>0</v>
      </c>
      <c r="G48">
        <v>46</v>
      </c>
      <c r="H48">
        <f t="shared" si="3"/>
        <v>0</v>
      </c>
    </row>
    <row r="49" spans="1:8" x14ac:dyDescent="0.25">
      <c r="A49">
        <v>47</v>
      </c>
      <c r="B49">
        <f t="shared" si="2"/>
        <v>0</v>
      </c>
      <c r="G49">
        <v>47</v>
      </c>
      <c r="H49">
        <f t="shared" si="3"/>
        <v>0</v>
      </c>
    </row>
    <row r="50" spans="1:8" x14ac:dyDescent="0.25">
      <c r="A50">
        <v>48</v>
      </c>
      <c r="B50">
        <f t="shared" si="2"/>
        <v>0</v>
      </c>
      <c r="G50">
        <v>48</v>
      </c>
      <c r="H50">
        <f t="shared" si="3"/>
        <v>0</v>
      </c>
    </row>
    <row r="51" spans="1:8" x14ac:dyDescent="0.25">
      <c r="A51">
        <v>49</v>
      </c>
      <c r="B51">
        <f t="shared" si="2"/>
        <v>0</v>
      </c>
      <c r="G51">
        <v>49</v>
      </c>
      <c r="H51">
        <f t="shared" si="3"/>
        <v>0</v>
      </c>
    </row>
    <row r="52" spans="1:8" x14ac:dyDescent="0.25">
      <c r="A52">
        <v>50</v>
      </c>
      <c r="B52">
        <f t="shared" si="2"/>
        <v>0</v>
      </c>
      <c r="G52">
        <v>50</v>
      </c>
      <c r="H52">
        <f t="shared" si="3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D055-9E67-4B18-957F-0216C80E98FF}">
  <dimension ref="A1:F9"/>
  <sheetViews>
    <sheetView workbookViewId="0">
      <selection activeCell="F2" sqref="F2"/>
    </sheetView>
  </sheetViews>
  <sheetFormatPr defaultRowHeight="15" x14ac:dyDescent="0.25"/>
  <sheetData>
    <row r="1" spans="1:6" x14ac:dyDescent="0.25">
      <c r="A1" t="s">
        <v>36</v>
      </c>
      <c r="B1" t="s">
        <v>62</v>
      </c>
    </row>
    <row r="2" spans="1:6" x14ac:dyDescent="0.25">
      <c r="A2">
        <v>1</v>
      </c>
      <c r="B2">
        <f t="shared" ref="B2:B9" si="0">RTT/A2</f>
        <v>131.72258970129189</v>
      </c>
      <c r="C2" t="str">
        <f t="shared" ref="C2:C9" si="1">IF(B2&lt;=INT,A2,"")</f>
        <v/>
      </c>
      <c r="E2" t="s">
        <v>36</v>
      </c>
      <c r="F2">
        <f>MIN(C2:C9)</f>
        <v>5</v>
      </c>
    </row>
    <row r="3" spans="1:6" x14ac:dyDescent="0.25">
      <c r="A3">
        <v>2</v>
      </c>
      <c r="B3">
        <f t="shared" si="0"/>
        <v>65.861294850645947</v>
      </c>
      <c r="C3" t="str">
        <f t="shared" si="1"/>
        <v/>
      </c>
    </row>
    <row r="4" spans="1:6" x14ac:dyDescent="0.25">
      <c r="A4">
        <v>3</v>
      </c>
      <c r="B4">
        <f t="shared" si="0"/>
        <v>43.907529900430632</v>
      </c>
      <c r="C4" t="str">
        <f t="shared" si="1"/>
        <v/>
      </c>
    </row>
    <row r="5" spans="1:6" x14ac:dyDescent="0.25">
      <c r="A5">
        <v>4</v>
      </c>
      <c r="B5">
        <f t="shared" si="0"/>
        <v>32.930647425322974</v>
      </c>
      <c r="C5" t="str">
        <f t="shared" si="1"/>
        <v/>
      </c>
    </row>
    <row r="6" spans="1:6" x14ac:dyDescent="0.25">
      <c r="A6">
        <v>5</v>
      </c>
      <c r="B6">
        <f t="shared" si="0"/>
        <v>26.344517940258378</v>
      </c>
      <c r="C6">
        <f t="shared" si="1"/>
        <v>5</v>
      </c>
    </row>
    <row r="7" spans="1:6" x14ac:dyDescent="0.25">
      <c r="A7">
        <v>6</v>
      </c>
      <c r="B7">
        <f t="shared" si="0"/>
        <v>21.953764950215316</v>
      </c>
      <c r="C7">
        <f t="shared" si="1"/>
        <v>6</v>
      </c>
    </row>
    <row r="8" spans="1:6" x14ac:dyDescent="0.25">
      <c r="A8">
        <v>7</v>
      </c>
      <c r="B8">
        <f t="shared" si="0"/>
        <v>18.81751281447027</v>
      </c>
      <c r="C8">
        <f t="shared" si="1"/>
        <v>7</v>
      </c>
    </row>
    <row r="9" spans="1:6" x14ac:dyDescent="0.25">
      <c r="A9">
        <v>8</v>
      </c>
      <c r="B9">
        <f t="shared" si="0"/>
        <v>16.465323712661487</v>
      </c>
      <c r="C9">
        <f t="shared" si="1"/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CF0F1707C744FB468F03A7612871B" ma:contentTypeVersion="18" ma:contentTypeDescription="Create a new document." ma:contentTypeScope="" ma:versionID="40deb19c4310c3bee203fe31873445c9">
  <xsd:schema xmlns:xsd="http://www.w3.org/2001/XMLSchema" xmlns:xs="http://www.w3.org/2001/XMLSchema" xmlns:p="http://schemas.microsoft.com/office/2006/metadata/properties" xmlns:ns3="a23aaf70-b499-4f72-93b5-eb702d62d3a1" xmlns:ns4="9dddcf00-d691-4787-be4f-f63b5d0b7b00" targetNamespace="http://schemas.microsoft.com/office/2006/metadata/properties" ma:root="true" ma:fieldsID="9ce78fdfaaa4c2e7b7b772ece861fb52" ns3:_="" ns4:_="">
    <xsd:import namespace="a23aaf70-b499-4f72-93b5-eb702d62d3a1"/>
    <xsd:import namespace="9dddcf00-d691-4787-be4f-f63b5d0b7b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SearchProperties" minOccurs="0"/>
                <xsd:element ref="ns4:MediaServiceSystemTags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aaf70-b499-4f72-93b5-eb702d62d3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dcf00-d691-4787-be4f-f63b5d0b7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ddcf00-d691-4787-be4f-f63b5d0b7b0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2C310C-7F74-4645-9FDF-0289237FA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aaf70-b499-4f72-93b5-eb702d62d3a1"/>
    <ds:schemaRef ds:uri="9dddcf00-d691-4787-be4f-f63b5d0b7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2DD05-C2DD-4AF2-9FC7-C5ACA2E00CCE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a23aaf70-b499-4f72-93b5-eb702d62d3a1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9dddcf00-d691-4787-be4f-f63b5d0b7b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7B76275-DFE0-4D2B-A176-4DAE3143C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48</vt:i4>
      </vt:variant>
    </vt:vector>
  </HeadingPairs>
  <TitlesOfParts>
    <vt:vector size="52" baseType="lpstr">
      <vt:lpstr>Input and Results</vt:lpstr>
      <vt:lpstr>Lookup tables</vt:lpstr>
      <vt:lpstr>Calculation of H</vt:lpstr>
      <vt:lpstr>Calculation of L</vt:lpstr>
      <vt:lpstr>a</vt:lpstr>
      <vt:lpstr>Ac</vt:lpstr>
      <vt:lpstr>Ap</vt:lpstr>
      <vt:lpstr>CarSizes</vt:lpstr>
      <vt:lpstr>Condition</vt:lpstr>
      <vt:lpstr>DesignCriteria</vt:lpstr>
      <vt:lpstr>df</vt:lpstr>
      <vt:lpstr>DoorTimes</vt:lpstr>
      <vt:lpstr>DoorWidth</vt:lpstr>
      <vt:lpstr>dt</vt:lpstr>
      <vt:lpstr>H</vt:lpstr>
      <vt:lpstr>HCFive</vt:lpstr>
      <vt:lpstr>HRequiredHC</vt:lpstr>
      <vt:lpstr>INT</vt:lpstr>
      <vt:lpstr>j</vt:lpstr>
      <vt:lpstr>Kinematics</vt:lpstr>
      <vt:lpstr>L</vt:lpstr>
      <vt:lpstr>lambda</vt:lpstr>
      <vt:lpstr>LOSS</vt:lpstr>
      <vt:lpstr>MinPlatformArea</vt:lpstr>
      <vt:lpstr>N</vt:lpstr>
      <vt:lpstr>P</vt:lpstr>
      <vt:lpstr>PassengerTransferTimes</vt:lpstr>
      <vt:lpstr>Pderating</vt:lpstr>
      <vt:lpstr>Pmax</vt:lpstr>
      <vt:lpstr>PRequiredHC</vt:lpstr>
      <vt:lpstr>RatedCapacity</vt:lpstr>
      <vt:lpstr>RTT</vt:lpstr>
      <vt:lpstr>RTTRequiredHC</vt:lpstr>
      <vt:lpstr>S</vt:lpstr>
      <vt:lpstr>Speeds</vt:lpstr>
      <vt:lpstr>SRequiredHC</vt:lpstr>
      <vt:lpstr>tc</vt:lpstr>
      <vt:lpstr>tcd</vt:lpstr>
      <vt:lpstr>tf</vt:lpstr>
      <vt:lpstr>tl</vt:lpstr>
      <vt:lpstr>tlevel</vt:lpstr>
      <vt:lpstr>to</vt:lpstr>
      <vt:lpstr>tp</vt:lpstr>
      <vt:lpstr>tpre</vt:lpstr>
      <vt:lpstr>ts</vt:lpstr>
      <vt:lpstr>tsd</vt:lpstr>
      <vt:lpstr>tv</vt:lpstr>
      <vt:lpstr>Ueff</vt:lpstr>
      <vt:lpstr>UPPHC</vt:lpstr>
      <vt:lpstr>UPPHCRequiredHC</vt:lpstr>
      <vt:lpstr>UPPINT</vt:lpstr>
      <vt:lpstr>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Peters</dc:creator>
  <cp:keywords/>
  <dc:description/>
  <cp:lastModifiedBy>Richard Peters</cp:lastModifiedBy>
  <cp:revision/>
  <dcterms:created xsi:type="dcterms:W3CDTF">2024-08-13T14:00:22Z</dcterms:created>
  <dcterms:modified xsi:type="dcterms:W3CDTF">2025-01-16T14:12:46Z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0x010100843CF0F1707C744FB468F03A7612871B</vt:lpwstr>
  </property>
</Properties>
</file>